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8475" windowHeight="1065" firstSheet="1" activeTab="1"/>
  </bookViews>
  <sheets>
    <sheet name="Stocker Budget" sheetId="1" r:id="rId1"/>
    <sheet name="Stocker Budget Interface" sheetId="2" r:id="rId2"/>
    <sheet name="Growout budget Interface" sheetId="3" r:id="rId3"/>
    <sheet name="Growout Budget" sheetId="4" r:id="rId4"/>
  </sheets>
  <definedNames/>
  <calcPr fullCalcOnLoad="1"/>
</workbook>
</file>

<file path=xl/sharedStrings.xml><?xml version="1.0" encoding="utf-8"?>
<sst xmlns="http://schemas.openxmlformats.org/spreadsheetml/2006/main" count="229" uniqueCount="83">
  <si>
    <t>Largemouth Bass Stocker Fish Production Budget</t>
  </si>
  <si>
    <t>ITEM</t>
  </si>
  <si>
    <t>AMOUNT</t>
  </si>
  <si>
    <t>UNITS</t>
  </si>
  <si>
    <t>PRICE</t>
  </si>
  <si>
    <t>VALUE</t>
  </si>
  <si>
    <t>6" stockers</t>
  </si>
  <si>
    <t>Revenue:</t>
  </si>
  <si>
    <t>head</t>
  </si>
  <si>
    <t>2" feed-trained fingerlings</t>
  </si>
  <si>
    <t>Feed</t>
  </si>
  <si>
    <t>tons</t>
  </si>
  <si>
    <t>Electricity</t>
  </si>
  <si>
    <t>days</t>
  </si>
  <si>
    <t>Chemicals</t>
  </si>
  <si>
    <t>application</t>
  </si>
  <si>
    <t>Maintenance</t>
  </si>
  <si>
    <t>Total</t>
  </si>
  <si>
    <t>Interest forgone</t>
  </si>
  <si>
    <t>Total variable cost</t>
  </si>
  <si>
    <t>Production parameters</t>
  </si>
  <si>
    <t>Stocking density</t>
  </si>
  <si>
    <t>per acre</t>
  </si>
  <si>
    <t>Water area</t>
  </si>
  <si>
    <t>acre</t>
  </si>
  <si>
    <t>Survival rate</t>
  </si>
  <si>
    <t>FCR</t>
  </si>
  <si>
    <t>to 1</t>
  </si>
  <si>
    <t>grams</t>
  </si>
  <si>
    <t>Average stocking wt.</t>
  </si>
  <si>
    <t>Average harvest wt.</t>
  </si>
  <si>
    <t>Revenue</t>
  </si>
  <si>
    <t>2" fingerling price</t>
  </si>
  <si>
    <t>Stocker fish price</t>
  </si>
  <si>
    <t>per head</t>
  </si>
  <si>
    <t>Feed price</t>
  </si>
  <si>
    <t>per ton</t>
  </si>
  <si>
    <t>Feed amount</t>
  </si>
  <si>
    <t>Stocking cost</t>
  </si>
  <si>
    <t>Feeding cost</t>
  </si>
  <si>
    <t>Returns to labor, mgmt, and fxd costs</t>
  </si>
  <si>
    <t>Variable costs:</t>
  </si>
  <si>
    <t>Fixed costs:</t>
  </si>
  <si>
    <t>Depreciation</t>
  </si>
  <si>
    <t>Pond</t>
  </si>
  <si>
    <t>acres</t>
  </si>
  <si>
    <t>Lifespan (years)</t>
  </si>
  <si>
    <t>Original-salvage value</t>
  </si>
  <si>
    <t>Aerator</t>
  </si>
  <si>
    <t>number</t>
  </si>
  <si>
    <t>Water pump</t>
  </si>
  <si>
    <t>DO meter</t>
  </si>
  <si>
    <t>WQ kit</t>
  </si>
  <si>
    <t>Feed storage space</t>
  </si>
  <si>
    <t>Fuel</t>
  </si>
  <si>
    <t>gallons</t>
  </si>
  <si>
    <t>Use %</t>
  </si>
  <si>
    <t>Interest</t>
  </si>
  <si>
    <t>Land</t>
  </si>
  <si>
    <t>Original value</t>
  </si>
  <si>
    <t>Salvage value</t>
  </si>
  <si>
    <t>Total fixed costs</t>
  </si>
  <si>
    <t>Returns to labor and mgmt</t>
  </si>
  <si>
    <t>Annual fixed costs</t>
  </si>
  <si>
    <t>Use of pickup truck</t>
  </si>
  <si>
    <t>Returns to labor, mgmt., &amp; fixed costs</t>
  </si>
  <si>
    <t>Returns to labor &amp; mgmt</t>
  </si>
  <si>
    <t>Stocker fish breakeven price</t>
  </si>
  <si>
    <t>Largemouth Bass Food Fish Production Budget</t>
  </si>
  <si>
    <t>6" feed-trained fingerlings</t>
  </si>
  <si>
    <t>Food fish price</t>
  </si>
  <si>
    <t>per pound</t>
  </si>
  <si>
    <t>Days of production</t>
  </si>
  <si>
    <t>pounds</t>
  </si>
  <si>
    <t>applications</t>
  </si>
  <si>
    <t>Food fish breakeven price</t>
  </si>
  <si>
    <t>Production volume</t>
  </si>
  <si>
    <t>1.5 lb food fish</t>
  </si>
  <si>
    <t>Initial Investment</t>
  </si>
  <si>
    <t>Water quality kit</t>
  </si>
  <si>
    <t>Total initial investment</t>
  </si>
  <si>
    <t xml:space="preserve">Initial Investment </t>
  </si>
  <si>
    <t>Estimated Results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</si>
</sst>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/>
    </xf>
    <xf numFmtId="0" fontId="0" fillId="3" borderId="1" xfId="0" applyFill="1" applyBorder="1" applyAlignment="1">
      <alignment/>
    </xf>
    <xf numFmtId="9" fontId="0" fillId="3" borderId="1" xfId="0" applyNumberFormat="1" applyFill="1" applyBorder="1" applyAlignment="1">
      <alignment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/>
    </xf>
    <xf numFmtId="164" fontId="1" fillId="3" borderId="0" xfId="0" applyNumberFormat="1" applyFon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11</xdr:row>
      <xdr:rowOff>142875</xdr:rowOff>
    </xdr:from>
    <xdr:to>
      <xdr:col>6</xdr:col>
      <xdr:colOff>600075</xdr:colOff>
      <xdr:row>19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90975" y="1924050"/>
          <a:ext cx="2495550" cy="11715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SCENARIO: 2" feed-trained fingerlings to 6" fish appropriate for pond stocking
You may change these parameters.
Here are the corresponding results</a:t>
          </a:r>
        </a:p>
      </xdr:txBody>
    </xdr:sp>
    <xdr:clientData/>
  </xdr:twoCellAnchor>
  <xdr:twoCellAnchor>
    <xdr:from>
      <xdr:col>2</xdr:col>
      <xdr:colOff>476250</xdr:colOff>
      <xdr:row>1</xdr:row>
      <xdr:rowOff>66675</xdr:rowOff>
    </xdr:from>
    <xdr:to>
      <xdr:col>2</xdr:col>
      <xdr:colOff>561975</xdr:colOff>
      <xdr:row>9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3352800" y="228600"/>
          <a:ext cx="85725" cy="1314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114300</xdr:rowOff>
    </xdr:from>
    <xdr:to>
      <xdr:col>3</xdr:col>
      <xdr:colOff>123825</xdr:colOff>
      <xdr:row>21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3533775" y="2057400"/>
          <a:ext cx="76200" cy="1485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19</xdr:row>
      <xdr:rowOff>0</xdr:rowOff>
    </xdr:from>
    <xdr:to>
      <xdr:col>4</xdr:col>
      <xdr:colOff>847725</xdr:colOff>
      <xdr:row>19</xdr:row>
      <xdr:rowOff>57150</xdr:rowOff>
    </xdr:to>
    <xdr:sp>
      <xdr:nvSpPr>
        <xdr:cNvPr id="4" name="AutoShape 7"/>
        <xdr:cNvSpPr>
          <a:spLocks/>
        </xdr:cNvSpPr>
      </xdr:nvSpPr>
      <xdr:spPr>
        <a:xfrm>
          <a:off x="3790950" y="3076575"/>
          <a:ext cx="1152525" cy="57150"/>
        </a:xfrm>
        <a:custGeom>
          <a:pathLst>
            <a:path h="6" w="121">
              <a:moveTo>
                <a:pt x="121" y="0"/>
              </a:moveTo>
              <a:cubicBezTo>
                <a:pt x="118" y="0"/>
                <a:pt x="120" y="3"/>
                <a:pt x="100" y="4"/>
              </a:cubicBezTo>
              <a:cubicBezTo>
                <a:pt x="80" y="5"/>
                <a:pt x="21" y="6"/>
                <a:pt x="0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38100</xdr:rowOff>
    </xdr:from>
    <xdr:to>
      <xdr:col>4</xdr:col>
      <xdr:colOff>152400</xdr:colOff>
      <xdr:row>16</xdr:row>
      <xdr:rowOff>95250</xdr:rowOff>
    </xdr:to>
    <xdr:sp>
      <xdr:nvSpPr>
        <xdr:cNvPr id="5" name="AutoShape 8"/>
        <xdr:cNvSpPr>
          <a:spLocks/>
        </xdr:cNvSpPr>
      </xdr:nvSpPr>
      <xdr:spPr>
        <a:xfrm>
          <a:off x="3486150" y="1009650"/>
          <a:ext cx="762000" cy="1676400"/>
        </a:xfrm>
        <a:custGeom>
          <a:pathLst>
            <a:path h="176" w="80">
              <a:moveTo>
                <a:pt x="80" y="166"/>
              </a:moveTo>
              <a:cubicBezTo>
                <a:pt x="72" y="164"/>
                <a:pt x="41" y="176"/>
                <a:pt x="34" y="155"/>
              </a:cubicBezTo>
              <a:cubicBezTo>
                <a:pt x="27" y="134"/>
                <a:pt x="36" y="62"/>
                <a:pt x="35" y="37"/>
              </a:cubicBezTo>
              <a:cubicBezTo>
                <a:pt x="34" y="12"/>
                <a:pt x="36" y="11"/>
                <a:pt x="30" y="5"/>
              </a:cubicBezTo>
              <a:cubicBezTo>
                <a:pt x="25" y="0"/>
                <a:pt x="5" y="2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12</xdr:row>
      <xdr:rowOff>133350</xdr:rowOff>
    </xdr:from>
    <xdr:to>
      <xdr:col>7</xdr:col>
      <xdr:colOff>76200</xdr:colOff>
      <xdr:row>20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76700" y="2076450"/>
          <a:ext cx="2495550" cy="11715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SCENARIO: 6" stocker fish to 1.25 lb food-sized fish
You may change these parameters.
Here are the corresponding results</a:t>
          </a:r>
        </a:p>
      </xdr:txBody>
    </xdr:sp>
    <xdr:clientData/>
  </xdr:twoCellAnchor>
  <xdr:twoCellAnchor>
    <xdr:from>
      <xdr:col>3</xdr:col>
      <xdr:colOff>95250</xdr:colOff>
      <xdr:row>7</xdr:row>
      <xdr:rowOff>47625</xdr:rowOff>
    </xdr:from>
    <xdr:to>
      <xdr:col>4</xdr:col>
      <xdr:colOff>209550</xdr:colOff>
      <xdr:row>16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3581400" y="1181100"/>
          <a:ext cx="723900" cy="1466850"/>
        </a:xfrm>
        <a:custGeom>
          <a:pathLst>
            <a:path h="154" w="76">
              <a:moveTo>
                <a:pt x="76" y="144"/>
              </a:moveTo>
              <a:cubicBezTo>
                <a:pt x="68" y="143"/>
                <a:pt x="34" y="154"/>
                <a:pt x="27" y="136"/>
              </a:cubicBezTo>
              <a:cubicBezTo>
                <a:pt x="20" y="118"/>
                <a:pt x="35" y="59"/>
                <a:pt x="35" y="37"/>
              </a:cubicBezTo>
              <a:cubicBezTo>
                <a:pt x="35" y="15"/>
                <a:pt x="36" y="11"/>
                <a:pt x="30" y="5"/>
              </a:cubicBezTo>
              <a:cubicBezTo>
                <a:pt x="25" y="0"/>
                <a:pt x="5" y="2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95250</xdr:rowOff>
    </xdr:from>
    <xdr:to>
      <xdr:col>4</xdr:col>
      <xdr:colOff>542925</xdr:colOff>
      <xdr:row>19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3505200" y="3009900"/>
          <a:ext cx="1133475" cy="161925"/>
        </a:xfrm>
        <a:custGeom>
          <a:pathLst>
            <a:path h="17" w="119">
              <a:moveTo>
                <a:pt x="117" y="0"/>
              </a:moveTo>
              <a:cubicBezTo>
                <a:pt x="114" y="2"/>
                <a:pt x="119" y="12"/>
                <a:pt x="100" y="15"/>
              </a:cubicBezTo>
              <a:cubicBezTo>
                <a:pt x="81" y="17"/>
                <a:pt x="17" y="16"/>
                <a:pt x="0" y="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</xdr:row>
      <xdr:rowOff>57150</xdr:rowOff>
    </xdr:from>
    <xdr:to>
      <xdr:col>2</xdr:col>
      <xdr:colOff>590550</xdr:colOff>
      <xdr:row>11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3390900" y="219075"/>
          <a:ext cx="76200" cy="1609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24">
      <selection activeCell="B30" sqref="B30"/>
    </sheetView>
  </sheetViews>
  <sheetFormatPr defaultColWidth="9.140625" defaultRowHeight="12.75"/>
  <cols>
    <col min="1" max="1" width="22.140625" style="0" bestFit="1" customWidth="1"/>
    <col min="3" max="3" width="9.140625" style="6" customWidth="1"/>
    <col min="4" max="4" width="14.28125" style="0" bestFit="1" customWidth="1"/>
    <col min="5" max="5" width="19.00390625" style="0" bestFit="1" customWidth="1"/>
  </cols>
  <sheetData>
    <row r="1" spans="1:5" s="1" customFormat="1" ht="12.75">
      <c r="A1" s="23" t="s">
        <v>0</v>
      </c>
      <c r="B1" s="23"/>
      <c r="C1" s="23"/>
      <c r="D1" s="23"/>
      <c r="E1" s="23"/>
    </row>
    <row r="2" spans="1:5" ht="12.75">
      <c r="A2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12.75">
      <c r="A3" s="2" t="s">
        <v>7</v>
      </c>
    </row>
    <row r="4" spans="1:5" ht="12.75">
      <c r="A4" t="s">
        <v>6</v>
      </c>
      <c r="B4">
        <f>B7*'Stocker Budget Interface'!B4</f>
        <v>22500</v>
      </c>
      <c r="C4" s="6" t="s">
        <v>8</v>
      </c>
      <c r="D4" s="4">
        <f>'Stocker Budget Interface'!B9</f>
        <v>0.75</v>
      </c>
      <c r="E4" s="4">
        <f>D4*B4</f>
        <v>16875</v>
      </c>
    </row>
    <row r="5" spans="4:5" ht="12.75">
      <c r="D5" s="4"/>
      <c r="E5" s="4"/>
    </row>
    <row r="6" spans="1:5" ht="12.75">
      <c r="A6" s="2" t="s">
        <v>41</v>
      </c>
      <c r="D6" s="4"/>
      <c r="E6" s="4"/>
    </row>
    <row r="7" spans="1:5" ht="12.75">
      <c r="A7" t="s">
        <v>9</v>
      </c>
      <c r="B7">
        <f>'Stocker Budget Interface'!B3*'Stocker Budget Interface'!B2</f>
        <v>30000</v>
      </c>
      <c r="C7" s="6" t="s">
        <v>8</v>
      </c>
      <c r="D7" s="4">
        <f>'Stocker Budget Interface'!B8</f>
        <v>0.3</v>
      </c>
      <c r="E7" s="4">
        <f>B7*D7</f>
        <v>9000</v>
      </c>
    </row>
    <row r="8" spans="1:5" ht="12.75">
      <c r="A8" t="s">
        <v>10</v>
      </c>
      <c r="B8">
        <f>(B7*(('Stocker Budget Interface'!B7-'Stocker Budget Interface'!B6)/454)*'Stocker Budget Interface'!B5)/2000</f>
        <v>5.947136563876652</v>
      </c>
      <c r="C8" s="6" t="s">
        <v>11</v>
      </c>
      <c r="D8" s="4">
        <f>'Stocker Budget Interface'!B10</f>
        <v>800</v>
      </c>
      <c r="E8" s="4">
        <f>B8*D8</f>
        <v>4757.709251101322</v>
      </c>
    </row>
    <row r="9" spans="1:5" ht="12.75">
      <c r="A9" t="s">
        <v>12</v>
      </c>
      <c r="B9">
        <f>30+31+31+30+31+30</f>
        <v>183</v>
      </c>
      <c r="C9" s="6" t="s">
        <v>13</v>
      </c>
      <c r="D9" s="4">
        <f>1*B20</f>
        <v>1</v>
      </c>
      <c r="E9" s="4">
        <f>B9*D9</f>
        <v>183</v>
      </c>
    </row>
    <row r="10" spans="1:5" ht="12.75">
      <c r="A10" t="s">
        <v>14</v>
      </c>
      <c r="B10">
        <v>1</v>
      </c>
      <c r="C10" s="6" t="s">
        <v>15</v>
      </c>
      <c r="D10" s="4">
        <v>100</v>
      </c>
      <c r="E10" s="4">
        <f>B10*D10</f>
        <v>100</v>
      </c>
    </row>
    <row r="11" spans="1:5" ht="12.75">
      <c r="A11" t="s">
        <v>54</v>
      </c>
      <c r="B11">
        <v>100</v>
      </c>
      <c r="C11" s="6" t="s">
        <v>55</v>
      </c>
      <c r="D11" s="4">
        <v>2.75</v>
      </c>
      <c r="E11" s="4">
        <f>B11*D11</f>
        <v>275</v>
      </c>
    </row>
    <row r="12" spans="1:5" ht="12.75">
      <c r="A12" t="s">
        <v>16</v>
      </c>
      <c r="D12" s="4"/>
      <c r="E12" s="4">
        <f>0.02*(B31*D31+B32*D32+B35*D35)</f>
        <v>65.1</v>
      </c>
    </row>
    <row r="13" spans="1:5" ht="12.75">
      <c r="A13" t="s">
        <v>17</v>
      </c>
      <c r="D13" s="4"/>
      <c r="E13" s="4">
        <f>SUM(E7:E12)</f>
        <v>14380.809251101322</v>
      </c>
    </row>
    <row r="14" spans="1:5" ht="12.75">
      <c r="A14" t="s">
        <v>18</v>
      </c>
      <c r="D14" s="4"/>
      <c r="E14" s="4">
        <f>E13*0.05*(183/365)</f>
        <v>360.50521821254006</v>
      </c>
    </row>
    <row r="15" spans="1:5" ht="12.75">
      <c r="A15" t="s">
        <v>19</v>
      </c>
      <c r="D15" s="4"/>
      <c r="E15" s="4">
        <f>SUM(E13:E14)</f>
        <v>14741.314469313862</v>
      </c>
    </row>
    <row r="16" spans="1:5" ht="12.75">
      <c r="A16" t="s">
        <v>65</v>
      </c>
      <c r="E16" s="4">
        <f>E4-E15</f>
        <v>2133.685530686138</v>
      </c>
    </row>
    <row r="17" spans="1:5" ht="12.75">
      <c r="A17" s="2" t="s">
        <v>42</v>
      </c>
      <c r="E17" s="4"/>
    </row>
    <row r="18" spans="1:5" ht="12.75">
      <c r="A18" s="1" t="s">
        <v>43</v>
      </c>
      <c r="D18" t="s">
        <v>46</v>
      </c>
      <c r="E18" s="4" t="s">
        <v>47</v>
      </c>
    </row>
    <row r="19" spans="1:6" ht="12.75">
      <c r="A19" t="s">
        <v>44</v>
      </c>
      <c r="B19">
        <f>'Stocker Budget Interface'!B2</f>
        <v>1</v>
      </c>
      <c r="C19" s="6" t="s">
        <v>45</v>
      </c>
      <c r="D19">
        <v>10</v>
      </c>
      <c r="E19" s="4">
        <f>B19*1.04*(5000-3000)</f>
        <v>2080</v>
      </c>
      <c r="F19" s="4">
        <f aca="true" t="shared" si="0" ref="F19:F25">E19/D19</f>
        <v>208</v>
      </c>
    </row>
    <row r="20" spans="1:6" ht="12.75">
      <c r="A20" t="s">
        <v>48</v>
      </c>
      <c r="B20">
        <f>IF(B19&lt;5,1,IF(B19&lt;10,2,3))</f>
        <v>1</v>
      </c>
      <c r="C20" s="6" t="s">
        <v>49</v>
      </c>
      <c r="D20">
        <v>5</v>
      </c>
      <c r="E20" s="4">
        <v>750</v>
      </c>
      <c r="F20" s="4">
        <f t="shared" si="0"/>
        <v>150</v>
      </c>
    </row>
    <row r="21" spans="1:6" ht="12.75">
      <c r="A21" t="s">
        <v>50</v>
      </c>
      <c r="B21">
        <v>1</v>
      </c>
      <c r="C21" s="6" t="s">
        <v>49</v>
      </c>
      <c r="D21">
        <v>5</v>
      </c>
      <c r="E21" s="4">
        <v>540</v>
      </c>
      <c r="F21" s="4">
        <f t="shared" si="0"/>
        <v>108</v>
      </c>
    </row>
    <row r="22" spans="1:6" ht="12.75">
      <c r="A22" t="s">
        <v>51</v>
      </c>
      <c r="B22">
        <v>1</v>
      </c>
      <c r="C22" s="6" t="s">
        <v>49</v>
      </c>
      <c r="D22">
        <v>10</v>
      </c>
      <c r="E22" s="4">
        <v>715</v>
      </c>
      <c r="F22" s="4">
        <f t="shared" si="0"/>
        <v>71.5</v>
      </c>
    </row>
    <row r="23" spans="1:6" ht="12.75">
      <c r="A23" t="s">
        <v>52</v>
      </c>
      <c r="B23">
        <v>1</v>
      </c>
      <c r="C23" s="6" t="s">
        <v>49</v>
      </c>
      <c r="D23">
        <v>3</v>
      </c>
      <c r="E23" s="4">
        <v>179</v>
      </c>
      <c r="F23" s="4">
        <f t="shared" si="0"/>
        <v>59.666666666666664</v>
      </c>
    </row>
    <row r="24" spans="1:6" ht="12.75">
      <c r="A24" t="s">
        <v>53</v>
      </c>
      <c r="B24">
        <v>1</v>
      </c>
      <c r="C24" s="6" t="s">
        <v>49</v>
      </c>
      <c r="D24">
        <v>10</v>
      </c>
      <c r="E24" s="4">
        <v>330</v>
      </c>
      <c r="F24" s="4">
        <f t="shared" si="0"/>
        <v>33</v>
      </c>
    </row>
    <row r="25" spans="1:6" ht="12.75">
      <c r="A25" t="s">
        <v>64</v>
      </c>
      <c r="B25" s="7">
        <v>0.1</v>
      </c>
      <c r="C25" s="6" t="s">
        <v>56</v>
      </c>
      <c r="D25">
        <v>15</v>
      </c>
      <c r="E25" s="4">
        <f>(20000-3000)*B25</f>
        <v>1700</v>
      </c>
      <c r="F25" s="4">
        <f t="shared" si="0"/>
        <v>113.33333333333333</v>
      </c>
    </row>
    <row r="26" spans="5:6" ht="12.75">
      <c r="E26" s="4"/>
      <c r="F26" s="4"/>
    </row>
    <row r="27" spans="1:6" ht="12.75">
      <c r="A27" s="1" t="s">
        <v>57</v>
      </c>
      <c r="D27" t="s">
        <v>59</v>
      </c>
      <c r="E27" s="4" t="s">
        <v>60</v>
      </c>
      <c r="F27" s="4"/>
    </row>
    <row r="28" spans="1:6" ht="12.75">
      <c r="A28" t="s">
        <v>58</v>
      </c>
      <c r="B28">
        <f>1.04*B19</f>
        <v>1.04</v>
      </c>
      <c r="C28" s="6" t="s">
        <v>45</v>
      </c>
      <c r="D28" s="4">
        <v>1000</v>
      </c>
      <c r="E28" s="4">
        <v>1000</v>
      </c>
      <c r="F28" s="4">
        <f>B28*(D28+E28)/2*0.08</f>
        <v>83.2</v>
      </c>
    </row>
    <row r="29" spans="1:6" ht="12.75">
      <c r="A29" t="s">
        <v>44</v>
      </c>
      <c r="B29">
        <f>'Stocker Budget Interface'!B2</f>
        <v>1</v>
      </c>
      <c r="C29" s="6" t="s">
        <v>45</v>
      </c>
      <c r="D29" s="4">
        <f>B19*1.04*(5000)</f>
        <v>5200</v>
      </c>
      <c r="E29" s="4">
        <f>B19*1.04*(3000)</f>
        <v>3120</v>
      </c>
      <c r="F29" s="4">
        <f aca="true" t="shared" si="1" ref="F29:F35">(D29+E29)*B29/2*0.08</f>
        <v>332.8</v>
      </c>
    </row>
    <row r="30" spans="1:6" ht="12.75">
      <c r="A30" t="s">
        <v>48</v>
      </c>
      <c r="B30">
        <f>IF(B29&lt;5,1,IF(B29&lt;10,2,3))</f>
        <v>1</v>
      </c>
      <c r="C30" s="6" t="s">
        <v>49</v>
      </c>
      <c r="D30" s="4">
        <v>750</v>
      </c>
      <c r="E30" s="4">
        <v>0</v>
      </c>
      <c r="F30" s="4">
        <f t="shared" si="1"/>
        <v>30</v>
      </c>
    </row>
    <row r="31" spans="1:6" ht="12.75">
      <c r="A31" t="s">
        <v>50</v>
      </c>
      <c r="B31">
        <v>1</v>
      </c>
      <c r="C31" s="6" t="s">
        <v>49</v>
      </c>
      <c r="D31" s="4">
        <v>540</v>
      </c>
      <c r="E31" s="4">
        <v>0</v>
      </c>
      <c r="F31" s="4">
        <f t="shared" si="1"/>
        <v>21.6</v>
      </c>
    </row>
    <row r="32" spans="1:6" ht="12.75">
      <c r="A32" t="s">
        <v>51</v>
      </c>
      <c r="B32">
        <v>1</v>
      </c>
      <c r="C32" s="6" t="s">
        <v>49</v>
      </c>
      <c r="D32" s="4">
        <v>715</v>
      </c>
      <c r="E32" s="4">
        <v>0</v>
      </c>
      <c r="F32" s="4">
        <f t="shared" si="1"/>
        <v>28.6</v>
      </c>
    </row>
    <row r="33" spans="1:6" ht="12.75">
      <c r="A33" t="s">
        <v>52</v>
      </c>
      <c r="B33">
        <v>1</v>
      </c>
      <c r="C33" s="6" t="s">
        <v>49</v>
      </c>
      <c r="D33" s="4">
        <v>179</v>
      </c>
      <c r="E33" s="4">
        <v>0</v>
      </c>
      <c r="F33" s="4">
        <f t="shared" si="1"/>
        <v>7.16</v>
      </c>
    </row>
    <row r="34" spans="1:6" ht="12.75">
      <c r="A34" t="s">
        <v>53</v>
      </c>
      <c r="B34">
        <v>1</v>
      </c>
      <c r="C34" s="6" t="s">
        <v>49</v>
      </c>
      <c r="D34" s="4">
        <v>330</v>
      </c>
      <c r="E34" s="4"/>
      <c r="F34" s="4">
        <f t="shared" si="1"/>
        <v>13.200000000000001</v>
      </c>
    </row>
    <row r="35" spans="1:6" ht="12.75">
      <c r="A35" t="s">
        <v>64</v>
      </c>
      <c r="B35" s="7">
        <v>0.1</v>
      </c>
      <c r="C35" s="6" t="s">
        <v>56</v>
      </c>
      <c r="D35" s="4">
        <v>20000</v>
      </c>
      <c r="E35" s="4">
        <v>3000</v>
      </c>
      <c r="F35" s="4">
        <f t="shared" si="1"/>
        <v>92</v>
      </c>
    </row>
    <row r="36" spans="5:6" ht="12.75">
      <c r="E36" s="4"/>
      <c r="F36" s="4"/>
    </row>
    <row r="37" spans="1:6" ht="12.75">
      <c r="A37" t="s">
        <v>61</v>
      </c>
      <c r="E37" s="4"/>
      <c r="F37" s="4">
        <f>SUM(F19:F35)</f>
        <v>1352.06</v>
      </c>
    </row>
    <row r="38" spans="1:6" ht="12.75">
      <c r="A38" t="s">
        <v>62</v>
      </c>
      <c r="F38" s="4">
        <f>E4-E15-F37</f>
        <v>781.6255306861381</v>
      </c>
    </row>
  </sheetData>
  <sheetProtection formatCells="0" formatColumns="0" formatRows="0" insertColumns="0" insertRows="0" insertHyperlinks="0" deleteColumns="0" deleteRows="0" sort="0" autoFilter="0"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8">
      <selection activeCell="A13" sqref="A13"/>
    </sheetView>
  </sheetViews>
  <sheetFormatPr defaultColWidth="9.140625" defaultRowHeight="12.75"/>
  <cols>
    <col min="1" max="1" width="33.00390625" style="0" bestFit="1" customWidth="1"/>
    <col min="2" max="2" width="10.140625" style="0" bestFit="1" customWidth="1"/>
    <col min="5" max="5" width="17.7109375" style="0" bestFit="1" customWidth="1"/>
    <col min="8" max="8" width="12.00390625" style="0" bestFit="1" customWidth="1"/>
  </cols>
  <sheetData>
    <row r="1" spans="1:8" ht="12.75">
      <c r="A1" s="1" t="s">
        <v>20</v>
      </c>
      <c r="E1" s="14" t="s">
        <v>78</v>
      </c>
      <c r="F1" s="15"/>
      <c r="G1" s="15"/>
      <c r="H1" s="15"/>
    </row>
    <row r="2" spans="1:10" ht="12.75">
      <c r="A2" t="s">
        <v>23</v>
      </c>
      <c r="B2">
        <v>1</v>
      </c>
      <c r="C2" t="s">
        <v>24</v>
      </c>
      <c r="E2" s="15" t="s">
        <v>58</v>
      </c>
      <c r="F2" s="15">
        <f>1.04*F3</f>
        <v>1.04</v>
      </c>
      <c r="G2" s="16" t="s">
        <v>45</v>
      </c>
      <c r="H2" s="17">
        <v>1000</v>
      </c>
      <c r="I2" s="4"/>
      <c r="J2" s="4"/>
    </row>
    <row r="3" spans="1:10" ht="12.75">
      <c r="A3" t="s">
        <v>21</v>
      </c>
      <c r="B3" s="11">
        <v>30000</v>
      </c>
      <c r="C3" t="s">
        <v>22</v>
      </c>
      <c r="E3" s="15" t="s">
        <v>44</v>
      </c>
      <c r="F3" s="15">
        <f>B2</f>
        <v>1</v>
      </c>
      <c r="G3" s="16" t="s">
        <v>45</v>
      </c>
      <c r="H3" s="17">
        <v>5200</v>
      </c>
      <c r="I3" s="4"/>
      <c r="J3" s="4"/>
    </row>
    <row r="4" spans="1:10" ht="12.75">
      <c r="A4" t="s">
        <v>25</v>
      </c>
      <c r="B4" s="3">
        <v>0.75</v>
      </c>
      <c r="E4" s="15" t="s">
        <v>48</v>
      </c>
      <c r="F4" s="15">
        <f>IF(F3&lt;5,1,IF(f&lt;10,2,3))</f>
        <v>1</v>
      </c>
      <c r="G4" s="16" t="s">
        <v>49</v>
      </c>
      <c r="H4" s="17">
        <v>750</v>
      </c>
      <c r="I4" s="4"/>
      <c r="J4" s="4"/>
    </row>
    <row r="5" spans="1:10" ht="12.75">
      <c r="A5" t="s">
        <v>26</v>
      </c>
      <c r="B5">
        <v>2</v>
      </c>
      <c r="C5" t="s">
        <v>27</v>
      </c>
      <c r="E5" s="15" t="s">
        <v>50</v>
      </c>
      <c r="F5" s="15">
        <v>1</v>
      </c>
      <c r="G5" s="16" t="s">
        <v>49</v>
      </c>
      <c r="H5" s="17">
        <v>540</v>
      </c>
      <c r="I5" s="4"/>
      <c r="J5" s="4"/>
    </row>
    <row r="6" spans="1:10" ht="12.75">
      <c r="A6" t="s">
        <v>29</v>
      </c>
      <c r="B6">
        <v>10</v>
      </c>
      <c r="C6" t="s">
        <v>28</v>
      </c>
      <c r="E6" s="15" t="s">
        <v>51</v>
      </c>
      <c r="F6" s="15">
        <v>1</v>
      </c>
      <c r="G6" s="16" t="s">
        <v>49</v>
      </c>
      <c r="H6" s="17">
        <v>715</v>
      </c>
      <c r="I6" s="4"/>
      <c r="J6" s="4"/>
    </row>
    <row r="7" spans="1:10" ht="12.75">
      <c r="A7" t="s">
        <v>30</v>
      </c>
      <c r="B7">
        <v>100</v>
      </c>
      <c r="C7" t="s">
        <v>28</v>
      </c>
      <c r="E7" s="15" t="s">
        <v>79</v>
      </c>
      <c r="F7" s="15">
        <v>1</v>
      </c>
      <c r="G7" s="16" t="s">
        <v>49</v>
      </c>
      <c r="H7" s="17">
        <v>179</v>
      </c>
      <c r="I7" s="4"/>
      <c r="J7" s="4"/>
    </row>
    <row r="8" spans="1:10" ht="12.75">
      <c r="A8" t="s">
        <v>32</v>
      </c>
      <c r="B8" s="4">
        <v>0.3</v>
      </c>
      <c r="C8" t="s">
        <v>34</v>
      </c>
      <c r="E8" s="15" t="s">
        <v>53</v>
      </c>
      <c r="F8" s="15">
        <v>1</v>
      </c>
      <c r="G8" s="16" t="s">
        <v>49</v>
      </c>
      <c r="H8" s="17">
        <v>330</v>
      </c>
      <c r="I8" s="4"/>
      <c r="J8" s="4"/>
    </row>
    <row r="9" spans="1:10" ht="12.75">
      <c r="A9" t="s">
        <v>33</v>
      </c>
      <c r="B9" s="4">
        <v>0.75</v>
      </c>
      <c r="C9" t="s">
        <v>34</v>
      </c>
      <c r="E9" s="18" t="s">
        <v>64</v>
      </c>
      <c r="F9" s="19">
        <v>0.1</v>
      </c>
      <c r="G9" s="20" t="s">
        <v>56</v>
      </c>
      <c r="H9" s="21">
        <f>20000*F9</f>
        <v>2000</v>
      </c>
      <c r="I9" s="4"/>
      <c r="J9" s="4"/>
    </row>
    <row r="10" spans="1:10" ht="12.75">
      <c r="A10" t="s">
        <v>35</v>
      </c>
      <c r="B10" s="4">
        <v>800</v>
      </c>
      <c r="C10" t="s">
        <v>36</v>
      </c>
      <c r="E10" s="14" t="s">
        <v>80</v>
      </c>
      <c r="F10" s="15"/>
      <c r="G10" s="15"/>
      <c r="H10" s="22">
        <f>SUM(H2:H9)</f>
        <v>10714</v>
      </c>
      <c r="I10" s="4"/>
      <c r="J10" s="4"/>
    </row>
    <row r="11" ht="12.75">
      <c r="B11" s="4"/>
    </row>
    <row r="12" ht="12.75">
      <c r="A12" s="1" t="s">
        <v>82</v>
      </c>
    </row>
    <row r="13" spans="1:3" ht="12.75">
      <c r="A13" s="13" t="s">
        <v>76</v>
      </c>
      <c r="B13" s="8">
        <f>'Stocker Budget'!B4</f>
        <v>22500</v>
      </c>
      <c r="C13" s="8" t="s">
        <v>8</v>
      </c>
    </row>
    <row r="14" spans="1:3" ht="12.75">
      <c r="A14" s="8" t="s">
        <v>31</v>
      </c>
      <c r="B14" s="9">
        <f>'Stocker Budget'!E4</f>
        <v>16875</v>
      </c>
      <c r="C14" s="8"/>
    </row>
    <row r="15" spans="1:3" ht="12.75">
      <c r="A15" s="8" t="s">
        <v>38</v>
      </c>
      <c r="B15" s="9">
        <f>'Stocker Budget'!E7</f>
        <v>9000</v>
      </c>
      <c r="C15" s="8"/>
    </row>
    <row r="16" spans="1:3" ht="12.75">
      <c r="A16" s="8" t="s">
        <v>37</v>
      </c>
      <c r="B16" s="10">
        <f>'Stocker Budget'!B8</f>
        <v>5.947136563876652</v>
      </c>
      <c r="C16" s="8" t="s">
        <v>11</v>
      </c>
    </row>
    <row r="17" spans="1:3" ht="12.75">
      <c r="A17" s="8" t="s">
        <v>39</v>
      </c>
      <c r="B17" s="9">
        <f>'Stocker Budget'!E8</f>
        <v>4757.709251101322</v>
      </c>
      <c r="C17" s="8"/>
    </row>
    <row r="18" spans="1:3" ht="12.75">
      <c r="A18" s="8" t="s">
        <v>19</v>
      </c>
      <c r="B18" s="9">
        <f>'Stocker Budget'!E15</f>
        <v>14741.314469313862</v>
      </c>
      <c r="C18" s="8"/>
    </row>
    <row r="19" spans="1:3" ht="12.75">
      <c r="A19" s="8" t="s">
        <v>40</v>
      </c>
      <c r="B19" s="9">
        <f>B14-B18</f>
        <v>2133.685530686138</v>
      </c>
      <c r="C19" s="8"/>
    </row>
    <row r="20" spans="1:3" ht="12.75">
      <c r="A20" s="8" t="s">
        <v>63</v>
      </c>
      <c r="B20" s="9">
        <f>'Stocker Budget'!F37</f>
        <v>1352.06</v>
      </c>
      <c r="C20" s="8"/>
    </row>
    <row r="21" spans="1:3" ht="12.75">
      <c r="A21" s="8" t="s">
        <v>66</v>
      </c>
      <c r="B21" s="9">
        <f>B19-B20</f>
        <v>781.6255306861381</v>
      </c>
      <c r="C21" s="8"/>
    </row>
    <row r="22" spans="1:3" ht="12.75">
      <c r="A22" s="8" t="s">
        <v>67</v>
      </c>
      <c r="B22" s="9">
        <f>(B18+B20)/B13</f>
        <v>0.7152610875250605</v>
      </c>
      <c r="C22" s="8" t="s">
        <v>34</v>
      </c>
    </row>
  </sheetData>
  <sheetProtection formatCells="0" formatColumns="0" formatRows="0" insertColumns="0" insertRows="0" deleteColumns="0" deleteRows="0" sort="0" autoFilter="0"/>
  <protectedRanges>
    <protectedRange sqref="A2:C10" name="Range1"/>
  </protectedRange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0" bestFit="1" customWidth="1"/>
    <col min="2" max="2" width="10.140625" style="0" bestFit="1" customWidth="1"/>
    <col min="5" max="5" width="17.7109375" style="0" bestFit="1" customWidth="1"/>
    <col min="8" max="8" width="10.140625" style="0" bestFit="1" customWidth="1"/>
  </cols>
  <sheetData>
    <row r="1" spans="1:8" ht="12.75">
      <c r="A1" s="1" t="s">
        <v>20</v>
      </c>
      <c r="E1" s="14" t="s">
        <v>81</v>
      </c>
      <c r="F1" s="15"/>
      <c r="G1" s="15"/>
      <c r="H1" s="15"/>
    </row>
    <row r="2" spans="1:8" ht="12.75">
      <c r="A2" t="s">
        <v>23</v>
      </c>
      <c r="B2">
        <v>1</v>
      </c>
      <c r="C2" t="s">
        <v>24</v>
      </c>
      <c r="E2" s="15" t="s">
        <v>58</v>
      </c>
      <c r="F2" s="15">
        <f>1.04*B2</f>
        <v>1.04</v>
      </c>
      <c r="G2" s="15" t="s">
        <v>45</v>
      </c>
      <c r="H2" s="17">
        <v>1000</v>
      </c>
    </row>
    <row r="3" spans="1:8" ht="12.75">
      <c r="A3" t="s">
        <v>21</v>
      </c>
      <c r="B3" s="11">
        <v>5000</v>
      </c>
      <c r="C3" t="s">
        <v>22</v>
      </c>
      <c r="E3" s="15" t="s">
        <v>44</v>
      </c>
      <c r="F3" s="15">
        <f>B2</f>
        <v>1</v>
      </c>
      <c r="G3" s="15" t="s">
        <v>45</v>
      </c>
      <c r="H3" s="17">
        <v>5200</v>
      </c>
    </row>
    <row r="4" spans="1:8" ht="12.75">
      <c r="A4" t="s">
        <v>25</v>
      </c>
      <c r="B4" s="3">
        <v>0.85</v>
      </c>
      <c r="E4" s="15" t="s">
        <v>48</v>
      </c>
      <c r="F4" s="15">
        <f>IF(F3&lt;5,1,IF(F3&lt;10,2,3))</f>
        <v>1</v>
      </c>
      <c r="G4" s="15" t="s">
        <v>49</v>
      </c>
      <c r="H4" s="17">
        <v>750</v>
      </c>
    </row>
    <row r="5" spans="1:8" ht="12.75">
      <c r="A5" t="s">
        <v>26</v>
      </c>
      <c r="B5">
        <v>2</v>
      </c>
      <c r="C5" t="s">
        <v>27</v>
      </c>
      <c r="E5" s="15" t="s">
        <v>50</v>
      </c>
      <c r="F5" s="15">
        <v>1</v>
      </c>
      <c r="G5" s="15" t="s">
        <v>49</v>
      </c>
      <c r="H5" s="17">
        <v>540</v>
      </c>
    </row>
    <row r="6" spans="1:8" ht="12.75">
      <c r="A6" t="s">
        <v>29</v>
      </c>
      <c r="B6">
        <v>100</v>
      </c>
      <c r="C6" t="s">
        <v>28</v>
      </c>
      <c r="E6" s="15" t="s">
        <v>51</v>
      </c>
      <c r="F6" s="15">
        <v>1</v>
      </c>
      <c r="G6" s="15" t="s">
        <v>49</v>
      </c>
      <c r="H6" s="17">
        <v>715</v>
      </c>
    </row>
    <row r="7" spans="1:8" ht="12.75">
      <c r="A7" t="s">
        <v>30</v>
      </c>
      <c r="B7">
        <f>1.5*450</f>
        <v>675</v>
      </c>
      <c r="C7" t="s">
        <v>28</v>
      </c>
      <c r="E7" s="15" t="s">
        <v>52</v>
      </c>
      <c r="F7" s="15">
        <v>1</v>
      </c>
      <c r="G7" s="15" t="s">
        <v>49</v>
      </c>
      <c r="H7" s="17">
        <v>179</v>
      </c>
    </row>
    <row r="8" spans="1:8" ht="12.75">
      <c r="A8" t="s">
        <v>33</v>
      </c>
      <c r="B8" s="4">
        <v>1</v>
      </c>
      <c r="C8" t="s">
        <v>34</v>
      </c>
      <c r="E8" s="15" t="s">
        <v>53</v>
      </c>
      <c r="F8" s="15">
        <v>1</v>
      </c>
      <c r="G8" s="15" t="s">
        <v>49</v>
      </c>
      <c r="H8" s="17">
        <v>330</v>
      </c>
    </row>
    <row r="9" spans="1:8" ht="12.75">
      <c r="A9" t="s">
        <v>70</v>
      </c>
      <c r="B9" s="4">
        <v>3.5</v>
      </c>
      <c r="C9" t="s">
        <v>71</v>
      </c>
      <c r="E9" s="15" t="s">
        <v>64</v>
      </c>
      <c r="F9" s="15">
        <v>0.1</v>
      </c>
      <c r="G9" s="15" t="s">
        <v>56</v>
      </c>
      <c r="H9" s="17">
        <f>20000*F9</f>
        <v>2000</v>
      </c>
    </row>
    <row r="10" spans="1:8" ht="12.75">
      <c r="A10" t="s">
        <v>35</v>
      </c>
      <c r="B10" s="4">
        <v>800</v>
      </c>
      <c r="C10" t="s">
        <v>36</v>
      </c>
      <c r="E10" s="14" t="s">
        <v>80</v>
      </c>
      <c r="F10" s="14"/>
      <c r="G10" s="14"/>
      <c r="H10" s="22">
        <f>SUM(H2:H9)</f>
        <v>10714</v>
      </c>
    </row>
    <row r="11" spans="1:2" ht="12.75">
      <c r="A11" t="s">
        <v>72</v>
      </c>
      <c r="B11" s="5">
        <v>365</v>
      </c>
    </row>
    <row r="12" ht="12.75">
      <c r="A12" s="1" t="s">
        <v>82</v>
      </c>
    </row>
    <row r="13" spans="1:3" ht="12.75">
      <c r="A13" s="13" t="s">
        <v>76</v>
      </c>
      <c r="B13" s="10">
        <f>'Growout Budget'!B4</f>
        <v>6318.832599118943</v>
      </c>
      <c r="C13" s="8" t="s">
        <v>73</v>
      </c>
    </row>
    <row r="14" spans="1:3" ht="12.75">
      <c r="A14" s="8" t="s">
        <v>31</v>
      </c>
      <c r="B14" s="9">
        <f>'Growout Budget'!E4</f>
        <v>22115.9140969163</v>
      </c>
      <c r="C14" s="8"/>
    </row>
    <row r="15" spans="1:3" ht="12.75">
      <c r="A15" s="8" t="s">
        <v>38</v>
      </c>
      <c r="B15" s="9">
        <f>'Growout Budget'!E7</f>
        <v>5000</v>
      </c>
      <c r="C15" s="8"/>
    </row>
    <row r="16" spans="1:3" ht="12.75">
      <c r="A16" s="8" t="s">
        <v>37</v>
      </c>
      <c r="B16" s="10">
        <f>'Growout Budget'!B8</f>
        <v>6.332599118942731</v>
      </c>
      <c r="C16" s="8" t="s">
        <v>11</v>
      </c>
    </row>
    <row r="17" spans="1:3" ht="12.75">
      <c r="A17" s="8" t="s">
        <v>39</v>
      </c>
      <c r="B17" s="9">
        <f>'Growout Budget'!E8</f>
        <v>5066.079295154185</v>
      </c>
      <c r="C17" s="8"/>
    </row>
    <row r="18" spans="1:3" ht="12.75">
      <c r="A18" s="8" t="s">
        <v>19</v>
      </c>
      <c r="B18" s="9">
        <f>'Growout Budget'!E15</f>
        <v>12671.055433649146</v>
      </c>
      <c r="C18" s="8"/>
    </row>
    <row r="19" spans="1:3" ht="12.75">
      <c r="A19" s="8" t="s">
        <v>40</v>
      </c>
      <c r="B19" s="9">
        <f>B14-B18</f>
        <v>9444.858663267156</v>
      </c>
      <c r="C19" s="8"/>
    </row>
    <row r="20" spans="1:3" ht="12.75">
      <c r="A20" s="8" t="s">
        <v>63</v>
      </c>
      <c r="B20" s="9">
        <f>'Growout Budget'!F37</f>
        <v>1352.06</v>
      </c>
      <c r="C20" s="8"/>
    </row>
    <row r="21" spans="1:3" ht="12.75">
      <c r="A21" s="8" t="s">
        <v>66</v>
      </c>
      <c r="B21" s="9">
        <f>B19-B20</f>
        <v>8092.798663267156</v>
      </c>
      <c r="C21" s="8"/>
    </row>
    <row r="22" spans="1:3" ht="12.75">
      <c r="A22" s="8" t="s">
        <v>75</v>
      </c>
      <c r="B22" s="9">
        <f>(B18+B20)/B13</f>
        <v>2.2192573095866535</v>
      </c>
      <c r="C22" s="8" t="s">
        <v>71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9" sqref="B9"/>
    </sheetView>
  </sheetViews>
  <sheetFormatPr defaultColWidth="9.140625" defaultRowHeight="12.75"/>
  <cols>
    <col min="1" max="1" width="22.140625" style="0" bestFit="1" customWidth="1"/>
    <col min="2" max="2" width="9.140625" style="5" customWidth="1"/>
    <col min="3" max="3" width="10.8515625" style="6" bestFit="1" customWidth="1"/>
    <col min="4" max="4" width="14.28125" style="0" bestFit="1" customWidth="1"/>
    <col min="5" max="5" width="19.00390625" style="0" bestFit="1" customWidth="1"/>
    <col min="6" max="6" width="10.7109375" style="0" bestFit="1" customWidth="1"/>
  </cols>
  <sheetData>
    <row r="1" spans="1:5" s="1" customFormat="1" ht="12.75">
      <c r="A1" s="23" t="s">
        <v>68</v>
      </c>
      <c r="B1" s="23"/>
      <c r="C1" s="23"/>
      <c r="D1" s="23"/>
      <c r="E1" s="23"/>
    </row>
    <row r="2" spans="1:5" ht="12.75">
      <c r="A2" t="s">
        <v>1</v>
      </c>
      <c r="B2" s="12" t="s">
        <v>2</v>
      </c>
      <c r="C2" s="6" t="s">
        <v>3</v>
      </c>
      <c r="D2" s="6" t="s">
        <v>4</v>
      </c>
      <c r="E2" s="6" t="s">
        <v>5</v>
      </c>
    </row>
    <row r="3" ht="12.75">
      <c r="A3" s="2" t="s">
        <v>7</v>
      </c>
    </row>
    <row r="4" spans="1:5" ht="12.75">
      <c r="A4" t="s">
        <v>77</v>
      </c>
      <c r="B4" s="5">
        <f>B7*'Growout budget Interface'!B4*'Growout budget Interface'!B7/454</f>
        <v>6318.832599118943</v>
      </c>
      <c r="C4" s="6" t="s">
        <v>73</v>
      </c>
      <c r="D4" s="4">
        <f>'Growout budget Interface'!B9</f>
        <v>3.5</v>
      </c>
      <c r="E4" s="4">
        <f>D4*B4</f>
        <v>22115.9140969163</v>
      </c>
    </row>
    <row r="5" spans="4:5" ht="12.75">
      <c r="D5" s="4"/>
      <c r="E5" s="4"/>
    </row>
    <row r="6" spans="1:5" ht="12.75">
      <c r="A6" s="2" t="s">
        <v>41</v>
      </c>
      <c r="D6" s="4"/>
      <c r="E6" s="4"/>
    </row>
    <row r="7" spans="1:5" ht="12.75">
      <c r="A7" t="s">
        <v>69</v>
      </c>
      <c r="B7" s="5">
        <f>'Growout budget Interface'!B2*'Growout budget Interface'!B3</f>
        <v>5000</v>
      </c>
      <c r="C7" s="6" t="s">
        <v>8</v>
      </c>
      <c r="D7" s="4">
        <f>'Growout budget Interface'!B8</f>
        <v>1</v>
      </c>
      <c r="E7" s="4">
        <f>B7*D7</f>
        <v>5000</v>
      </c>
    </row>
    <row r="8" spans="1:5" ht="12.75">
      <c r="A8" t="s">
        <v>10</v>
      </c>
      <c r="B8" s="5">
        <f>(B7*(('Growout budget Interface'!B7-'Growout budget Interface'!B6)/454)*'Growout budget Interface'!B5)/2000</f>
        <v>6.332599118942731</v>
      </c>
      <c r="C8" s="6" t="s">
        <v>11</v>
      </c>
      <c r="D8" s="4">
        <f>'Growout budget Interface'!B10</f>
        <v>800</v>
      </c>
      <c r="E8" s="4">
        <f>B8*D8</f>
        <v>5066.079295154185</v>
      </c>
    </row>
    <row r="9" spans="1:5" ht="12.75">
      <c r="A9" t="s">
        <v>12</v>
      </c>
      <c r="B9" s="5">
        <f>'Growout budget Interface'!B11</f>
        <v>365</v>
      </c>
      <c r="C9" s="6" t="s">
        <v>13</v>
      </c>
      <c r="D9" s="4">
        <f>2*B20</f>
        <v>2</v>
      </c>
      <c r="E9" s="4">
        <f>B9*D9</f>
        <v>730</v>
      </c>
    </row>
    <row r="10" spans="1:5" ht="12.75">
      <c r="A10" t="s">
        <v>14</v>
      </c>
      <c r="B10" s="5">
        <v>4</v>
      </c>
      <c r="C10" s="6" t="s">
        <v>74</v>
      </c>
      <c r="D10" s="4">
        <v>100</v>
      </c>
      <c r="E10" s="4">
        <f>B10*D10</f>
        <v>400</v>
      </c>
    </row>
    <row r="11" spans="1:5" ht="12.75">
      <c r="A11" t="s">
        <v>54</v>
      </c>
      <c r="B11" s="5">
        <v>400</v>
      </c>
      <c r="C11" s="6" t="s">
        <v>55</v>
      </c>
      <c r="D11" s="4">
        <v>2.75</v>
      </c>
      <c r="E11" s="4">
        <f>B11*D11</f>
        <v>1100</v>
      </c>
    </row>
    <row r="12" spans="1:5" ht="12.75">
      <c r="A12" t="s">
        <v>16</v>
      </c>
      <c r="D12" s="4"/>
      <c r="E12" s="4">
        <f>0.02*(B31*D31+B32*D32+B35*D35)</f>
        <v>65.1</v>
      </c>
    </row>
    <row r="13" spans="1:5" ht="12.75">
      <c r="A13" t="s">
        <v>17</v>
      </c>
      <c r="D13" s="4"/>
      <c r="E13" s="4">
        <f>SUM(E7:E12)</f>
        <v>12361.179295154185</v>
      </c>
    </row>
    <row r="14" spans="1:5" ht="12.75">
      <c r="A14" t="s">
        <v>18</v>
      </c>
      <c r="D14" s="4"/>
      <c r="E14" s="4">
        <f>E13*0.05*(183/365)</f>
        <v>309.87613849496114</v>
      </c>
    </row>
    <row r="15" spans="1:5" ht="12.75">
      <c r="A15" t="s">
        <v>19</v>
      </c>
      <c r="D15" s="4"/>
      <c r="E15" s="4">
        <f>SUM(E13:E14)</f>
        <v>12671.055433649146</v>
      </c>
    </row>
    <row r="16" spans="1:5" ht="12.75">
      <c r="A16" t="s">
        <v>65</v>
      </c>
      <c r="E16" s="4">
        <f>E4-E15</f>
        <v>9444.858663267156</v>
      </c>
    </row>
    <row r="17" spans="1:5" ht="12.75">
      <c r="A17" s="2" t="s">
        <v>42</v>
      </c>
      <c r="E17" s="4"/>
    </row>
    <row r="18" spans="1:5" ht="12.75">
      <c r="A18" s="1" t="s">
        <v>43</v>
      </c>
      <c r="D18" t="s">
        <v>46</v>
      </c>
      <c r="E18" s="4" t="s">
        <v>47</v>
      </c>
    </row>
    <row r="19" spans="1:6" ht="12.75">
      <c r="A19" t="s">
        <v>44</v>
      </c>
      <c r="B19" s="5">
        <f>'Stocker Budget Interface'!B2</f>
        <v>1</v>
      </c>
      <c r="C19" s="6" t="s">
        <v>45</v>
      </c>
      <c r="D19">
        <v>10</v>
      </c>
      <c r="E19" s="4">
        <f>B19*1.04*(5000-3000)</f>
        <v>2080</v>
      </c>
      <c r="F19" s="4">
        <f aca="true" t="shared" si="0" ref="F19:F25">E19/D19</f>
        <v>208</v>
      </c>
    </row>
    <row r="20" spans="1:6" ht="12.75">
      <c r="A20" t="s">
        <v>48</v>
      </c>
      <c r="B20" s="5">
        <f>IF(B19&lt;5,1,IF(B19&lt;10,2,3))</f>
        <v>1</v>
      </c>
      <c r="C20" s="6" t="s">
        <v>49</v>
      </c>
      <c r="D20">
        <v>5</v>
      </c>
      <c r="E20" s="4">
        <v>750</v>
      </c>
      <c r="F20" s="4">
        <f t="shared" si="0"/>
        <v>150</v>
      </c>
    </row>
    <row r="21" spans="1:6" ht="12.75">
      <c r="A21" t="s">
        <v>50</v>
      </c>
      <c r="B21" s="5">
        <v>1</v>
      </c>
      <c r="C21" s="6" t="s">
        <v>49</v>
      </c>
      <c r="D21">
        <v>5</v>
      </c>
      <c r="E21" s="4">
        <v>540</v>
      </c>
      <c r="F21" s="4">
        <f t="shared" si="0"/>
        <v>108</v>
      </c>
    </row>
    <row r="22" spans="1:6" ht="12.75">
      <c r="A22" t="s">
        <v>51</v>
      </c>
      <c r="B22" s="5">
        <v>1</v>
      </c>
      <c r="C22" s="6" t="s">
        <v>49</v>
      </c>
      <c r="D22">
        <v>10</v>
      </c>
      <c r="E22" s="4">
        <v>715</v>
      </c>
      <c r="F22" s="4">
        <f t="shared" si="0"/>
        <v>71.5</v>
      </c>
    </row>
    <row r="23" spans="1:6" ht="12.75">
      <c r="A23" t="s">
        <v>52</v>
      </c>
      <c r="B23" s="5">
        <v>1</v>
      </c>
      <c r="C23" s="6" t="s">
        <v>49</v>
      </c>
      <c r="D23">
        <v>3</v>
      </c>
      <c r="E23" s="4">
        <v>179</v>
      </c>
      <c r="F23" s="4">
        <f t="shared" si="0"/>
        <v>59.666666666666664</v>
      </c>
    </row>
    <row r="24" spans="1:6" ht="12.75">
      <c r="A24" t="s">
        <v>53</v>
      </c>
      <c r="B24" s="5">
        <v>1</v>
      </c>
      <c r="C24" s="6" t="s">
        <v>49</v>
      </c>
      <c r="D24">
        <v>10</v>
      </c>
      <c r="E24" s="4">
        <v>330</v>
      </c>
      <c r="F24" s="4">
        <f t="shared" si="0"/>
        <v>33</v>
      </c>
    </row>
    <row r="25" spans="1:6" ht="12.75">
      <c r="A25" t="s">
        <v>64</v>
      </c>
      <c r="B25" s="5">
        <v>0.1</v>
      </c>
      <c r="C25" s="6" t="s">
        <v>56</v>
      </c>
      <c r="D25">
        <v>15</v>
      </c>
      <c r="E25" s="4">
        <f>(20000-3000)*B25</f>
        <v>1700</v>
      </c>
      <c r="F25" s="4">
        <f t="shared" si="0"/>
        <v>113.33333333333333</v>
      </c>
    </row>
    <row r="26" spans="5:6" ht="12.75">
      <c r="E26" s="4"/>
      <c r="F26" s="4"/>
    </row>
    <row r="27" spans="1:6" ht="12.75">
      <c r="A27" s="1" t="s">
        <v>57</v>
      </c>
      <c r="D27" t="s">
        <v>59</v>
      </c>
      <c r="E27" s="4" t="s">
        <v>60</v>
      </c>
      <c r="F27" s="4"/>
    </row>
    <row r="28" spans="1:6" ht="12.75">
      <c r="A28" t="s">
        <v>58</v>
      </c>
      <c r="B28" s="5">
        <f>1.04*B19</f>
        <v>1.04</v>
      </c>
      <c r="C28" s="6" t="s">
        <v>45</v>
      </c>
      <c r="D28" s="4">
        <v>1000</v>
      </c>
      <c r="E28" s="4">
        <v>1000</v>
      </c>
      <c r="F28" s="4">
        <f>B28*(D28+E28)/2*0.08</f>
        <v>83.2</v>
      </c>
    </row>
    <row r="29" spans="1:6" ht="12.75">
      <c r="A29" t="s">
        <v>44</v>
      </c>
      <c r="B29" s="5">
        <f>'Stocker Budget Interface'!B2</f>
        <v>1</v>
      </c>
      <c r="C29" s="6" t="s">
        <v>45</v>
      </c>
      <c r="D29" s="4">
        <f>B19*1.04*(5000)</f>
        <v>5200</v>
      </c>
      <c r="E29" s="4">
        <f>B19*1.04*(3000)</f>
        <v>3120</v>
      </c>
      <c r="F29" s="4">
        <f aca="true" t="shared" si="1" ref="F29:F35">(D29+E29)*B29/2*0.08</f>
        <v>332.8</v>
      </c>
    </row>
    <row r="30" spans="1:6" ht="12.75">
      <c r="A30" t="s">
        <v>48</v>
      </c>
      <c r="B30" s="5">
        <f>IF(B29&lt;5,1,IF(B29&lt;10,2,3))</f>
        <v>1</v>
      </c>
      <c r="C30" s="6" t="s">
        <v>49</v>
      </c>
      <c r="D30" s="4">
        <v>750</v>
      </c>
      <c r="E30" s="4">
        <v>0</v>
      </c>
      <c r="F30" s="4">
        <f t="shared" si="1"/>
        <v>30</v>
      </c>
    </row>
    <row r="31" spans="1:6" ht="12.75">
      <c r="A31" t="s">
        <v>50</v>
      </c>
      <c r="B31" s="5">
        <v>1</v>
      </c>
      <c r="C31" s="6" t="s">
        <v>49</v>
      </c>
      <c r="D31" s="4">
        <v>540</v>
      </c>
      <c r="E31" s="4">
        <v>0</v>
      </c>
      <c r="F31" s="4">
        <f t="shared" si="1"/>
        <v>21.6</v>
      </c>
    </row>
    <row r="32" spans="1:6" ht="12.75">
      <c r="A32" t="s">
        <v>51</v>
      </c>
      <c r="B32" s="5">
        <v>1</v>
      </c>
      <c r="C32" s="6" t="s">
        <v>49</v>
      </c>
      <c r="D32" s="4">
        <v>715</v>
      </c>
      <c r="E32" s="4">
        <v>0</v>
      </c>
      <c r="F32" s="4">
        <f t="shared" si="1"/>
        <v>28.6</v>
      </c>
    </row>
    <row r="33" spans="1:6" ht="12.75">
      <c r="A33" t="s">
        <v>52</v>
      </c>
      <c r="B33" s="5">
        <v>1</v>
      </c>
      <c r="C33" s="6" t="s">
        <v>49</v>
      </c>
      <c r="D33" s="4">
        <v>179</v>
      </c>
      <c r="E33" s="4">
        <v>0</v>
      </c>
      <c r="F33" s="4">
        <f t="shared" si="1"/>
        <v>7.16</v>
      </c>
    </row>
    <row r="34" spans="1:6" ht="12.75">
      <c r="A34" t="s">
        <v>53</v>
      </c>
      <c r="B34" s="5">
        <v>1</v>
      </c>
      <c r="C34" s="6" t="s">
        <v>49</v>
      </c>
      <c r="D34" s="4">
        <v>330</v>
      </c>
      <c r="E34" s="4"/>
      <c r="F34" s="4">
        <f t="shared" si="1"/>
        <v>13.200000000000001</v>
      </c>
    </row>
    <row r="35" spans="1:6" ht="12.75">
      <c r="A35" t="s">
        <v>64</v>
      </c>
      <c r="B35" s="5">
        <v>0.1</v>
      </c>
      <c r="C35" s="6" t="s">
        <v>56</v>
      </c>
      <c r="D35" s="4">
        <v>20000</v>
      </c>
      <c r="E35" s="4">
        <v>3000</v>
      </c>
      <c r="F35" s="4">
        <f t="shared" si="1"/>
        <v>92</v>
      </c>
    </row>
    <row r="36" spans="5:6" ht="12.75">
      <c r="E36" s="4"/>
      <c r="F36" s="4"/>
    </row>
    <row r="37" spans="1:6" ht="12.75">
      <c r="A37" t="s">
        <v>61</v>
      </c>
      <c r="E37" s="4"/>
      <c r="F37" s="4">
        <f>SUM(F19:F35)</f>
        <v>1352.06</v>
      </c>
    </row>
    <row r="38" spans="1:6" ht="12.75">
      <c r="A38" t="s">
        <v>62</v>
      </c>
      <c r="F38" s="4">
        <f>E4-E15-F37</f>
        <v>8092.798663267156</v>
      </c>
    </row>
  </sheetData>
  <sheetProtection password="DEB9" sheet="1" formatCells="0" formatColumns="0" formatRows="0" insertColumns="0" insertRows="0" deleteColumns="0" deleteRows="0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siddhartha.dasgupta</dc:creator>
  <cp:keywords/>
  <dc:description/>
  <cp:lastModifiedBy>Tod.porter</cp:lastModifiedBy>
  <dcterms:created xsi:type="dcterms:W3CDTF">2007-10-17T15:15:50Z</dcterms:created>
  <dcterms:modified xsi:type="dcterms:W3CDTF">2007-10-23T18:32:32Z</dcterms:modified>
  <cp:category/>
  <cp:version/>
  <cp:contentType/>
  <cp:contentStatus/>
</cp:coreProperties>
</file>